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zvi\Dropbox\work\1000\1073QUA diy alcove cabinets website\spreadsheets\edited\Base cabinet doors spread sheets\"/>
    </mc:Choice>
  </mc:AlternateContent>
  <xr:revisionPtr revIDLastSave="0" documentId="13_ncr:1_{510E7EDA-AC76-4871-81D1-FB16585229D7}" xr6:coauthVersionLast="47" xr6:coauthVersionMax="47" xr10:uidLastSave="{00000000-0000-0000-0000-000000000000}"/>
  <bookViews>
    <workbookView xWindow="-3833" yWindow="-14493" windowWidth="25786" windowHeight="13866" tabRatio="966" xr2:uid="{AFF48750-CFF5-424F-A53B-24C2124A3B06}"/>
  </bookViews>
  <sheets>
    <sheet name="Price sheet" sheetId="2" r:id="rId1"/>
    <sheet name="Costs" sheetId="11" r:id="rId2"/>
    <sheet name="Shaker door" sheetId="1" r:id="rId3"/>
    <sheet name="Shaker RAISED PANEL door" sheetId="2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2" i="2" l="1"/>
  <c r="B11" i="21"/>
  <c r="C11" i="21"/>
  <c r="C11" i="1"/>
  <c r="B11" i="1"/>
  <c r="C12" i="21" l="1"/>
  <c r="B12" i="21"/>
  <c r="H11" i="21"/>
  <c r="H11" i="1"/>
  <c r="A1" i="21"/>
  <c r="A11" i="21" s="1"/>
  <c r="H12" i="21"/>
  <c r="H20" i="21"/>
  <c r="H17" i="21"/>
  <c r="H16" i="21"/>
  <c r="J7" i="21"/>
  <c r="F12" i="21" s="1"/>
  <c r="G12" i="21" s="1"/>
  <c r="A3" i="21"/>
  <c r="A1" i="1"/>
  <c r="A28" i="1" s="1"/>
  <c r="H12" i="1"/>
  <c r="J7" i="1"/>
  <c r="F12" i="1" s="1"/>
  <c r="G12" i="1" s="1"/>
  <c r="H17" i="1"/>
  <c r="H16" i="1"/>
  <c r="H20" i="1"/>
  <c r="C6" i="11"/>
  <c r="E6" i="11" s="1"/>
  <c r="C5" i="11"/>
  <c r="E5" i="11" s="1"/>
  <c r="D16" i="1" s="1"/>
  <c r="C4" i="11"/>
  <c r="C28" i="1" l="1"/>
  <c r="A24" i="1"/>
  <c r="I12" i="21"/>
  <c r="F11" i="21"/>
  <c r="E20" i="21"/>
  <c r="D16" i="21"/>
  <c r="E4" i="11"/>
  <c r="D17" i="21"/>
  <c r="A11" i="1"/>
  <c r="D12" i="21"/>
  <c r="B17" i="21" s="1"/>
  <c r="A24" i="21"/>
  <c r="D11" i="21"/>
  <c r="E11" i="21" s="1"/>
  <c r="A28" i="21"/>
  <c r="C28" i="21"/>
  <c r="F11" i="1"/>
  <c r="G17" i="21" l="1"/>
  <c r="I17" i="21" s="1"/>
  <c r="G11" i="21"/>
  <c r="I11" i="21" s="1"/>
  <c r="J11" i="21" s="1"/>
  <c r="D17" i="1"/>
  <c r="C20" i="21"/>
  <c r="D20" i="21" s="1"/>
  <c r="G20" i="21" s="1"/>
  <c r="J20" i="21" s="1"/>
  <c r="B16" i="21"/>
  <c r="G16" i="21" s="1"/>
  <c r="I16" i="21" l="1"/>
  <c r="J16" i="21" s="1"/>
  <c r="D25" i="21" s="1"/>
  <c r="B24" i="21"/>
  <c r="B25" i="21"/>
  <c r="J25" i="21" l="1"/>
  <c r="E8" i="2" s="1"/>
  <c r="D24" i="21"/>
  <c r="J24" i="21" s="1"/>
  <c r="D8" i="2" s="1"/>
  <c r="C25" i="21" l="1"/>
  <c r="C24" i="21"/>
  <c r="B28" i="21"/>
  <c r="D28" i="21"/>
  <c r="I12" i="1" l="1"/>
  <c r="E20" i="1" l="1"/>
  <c r="A3" i="1"/>
  <c r="C12" i="1" l="1"/>
  <c r="B12" i="1"/>
  <c r="D12" i="1" l="1"/>
  <c r="B17" i="1" s="1"/>
  <c r="G17" i="1" s="1"/>
  <c r="I17" i="1" s="1"/>
  <c r="D11" i="1"/>
  <c r="E11" i="1" s="1"/>
  <c r="G11" i="1" s="1"/>
  <c r="C20" i="1" l="1"/>
  <c r="B16" i="1"/>
  <c r="G16" i="1" s="1"/>
  <c r="I16" i="1" l="1"/>
  <c r="J16" i="1" s="1"/>
  <c r="B24" i="1"/>
  <c r="D20" i="1"/>
  <c r="G20" i="1" s="1"/>
  <c r="J20" i="1" s="1"/>
  <c r="I11" i="1"/>
  <c r="B25" i="1"/>
  <c r="J11" i="1" l="1"/>
  <c r="D25" i="1" l="1"/>
  <c r="J25" i="1" s="1"/>
  <c r="E5" i="2" s="1"/>
  <c r="D24" i="1"/>
  <c r="J24" i="1" s="1"/>
  <c r="B28" i="1" l="1"/>
  <c r="D5" i="2"/>
  <c r="D28" i="1"/>
  <c r="C25" i="1"/>
  <c r="C24" i="1"/>
</calcChain>
</file>

<file path=xl/sharedStrings.xml><?xml version="1.0" encoding="utf-8"?>
<sst xmlns="http://schemas.openxmlformats.org/spreadsheetml/2006/main" count="144" uniqueCount="81">
  <si>
    <t>Size</t>
  </si>
  <si>
    <t>Size (M2)</t>
  </si>
  <si>
    <t>Width (M)</t>
  </si>
  <si>
    <t>Average cost of production worker</t>
  </si>
  <si>
    <t>Sickness factor</t>
  </si>
  <si>
    <t>Pensions</t>
  </si>
  <si>
    <t>Efficiency rate at 80</t>
  </si>
  <si>
    <t>NI factor</t>
  </si>
  <si>
    <t>Holiday factor working 220 days out of 260 days</t>
  </si>
  <si>
    <t>Cost (£)</t>
  </si>
  <si>
    <t>£ Cost /m2</t>
  </si>
  <si>
    <t>Total cost</t>
  </si>
  <si>
    <t>Selling price (£)</t>
  </si>
  <si>
    <t>Price (£)</t>
  </si>
  <si>
    <t>Percentage cost of labour</t>
  </si>
  <si>
    <t>Cost</t>
  </si>
  <si>
    <t>Percentage cost of materials</t>
  </si>
  <si>
    <t>Cost for labour</t>
  </si>
  <si>
    <t>Waste +</t>
  </si>
  <si>
    <t>Height (M)</t>
  </si>
  <si>
    <t>Ratio</t>
  </si>
  <si>
    <t>Set up time ( in mins )</t>
  </si>
  <si>
    <t xml:space="preserve">Actual minute rate </t>
  </si>
  <si>
    <t>Processing the door ( in mins ).</t>
  </si>
  <si>
    <t>Size ( in m2 )</t>
  </si>
  <si>
    <t>Cost of worker</t>
  </si>
  <si>
    <t>Door style</t>
  </si>
  <si>
    <t>Material name</t>
  </si>
  <si>
    <t>Mark up</t>
  </si>
  <si>
    <t>18mm MR</t>
  </si>
  <si>
    <t>Cost of materials</t>
  </si>
  <si>
    <t>Cost of primer</t>
  </si>
  <si>
    <t>GP%</t>
  </si>
  <si>
    <t>Selling price</t>
  </si>
  <si>
    <t>Teknos primer ( any colour )</t>
  </si>
  <si>
    <t>Rate (£/Min)</t>
  </si>
  <si>
    <t>Time (mins)</t>
  </si>
  <si>
    <t>Selling Price (£)</t>
  </si>
  <si>
    <t>Cost of worker per min</t>
  </si>
  <si>
    <t>Waste+</t>
  </si>
  <si>
    <t>£ Cost per SQM</t>
  </si>
  <si>
    <r>
      <t>*</t>
    </r>
    <r>
      <rPr>
        <i/>
        <sz val="11"/>
        <color theme="1"/>
        <rFont val="Calibri"/>
        <family val="2"/>
        <scheme val="minor"/>
      </rPr>
      <t xml:space="preserve"> £5 per litre and 8sqm per litre</t>
    </r>
  </si>
  <si>
    <t>6mm MR</t>
  </si>
  <si>
    <t>6mm panel</t>
  </si>
  <si>
    <t>Final Price (£)</t>
  </si>
  <si>
    <r>
      <t xml:space="preserve">Price </t>
    </r>
    <r>
      <rPr>
        <b/>
        <u/>
        <sz val="11"/>
        <color rgb="FFFF0000"/>
        <rFont val="Calibri"/>
        <family val="2"/>
        <scheme val="minor"/>
      </rPr>
      <t>with primer</t>
    </r>
    <r>
      <rPr>
        <sz val="11"/>
        <color theme="1"/>
        <rFont val="Calibri"/>
        <family val="2"/>
        <scheme val="minor"/>
      </rPr>
      <t xml:space="preserve"> (£)</t>
    </r>
  </si>
  <si>
    <t>Door pricing:</t>
  </si>
  <si>
    <t>22mm MR</t>
  </si>
  <si>
    <t>Thickness</t>
  </si>
  <si>
    <t>6mm</t>
  </si>
  <si>
    <t>18mm</t>
  </si>
  <si>
    <t>22mm</t>
  </si>
  <si>
    <t>Sheet Cost</t>
  </si>
  <si>
    <t>Total cost (Incl. VAT)</t>
  </si>
  <si>
    <t>Sqm of the board</t>
  </si>
  <si>
    <t>Primer Cost.</t>
  </si>
  <si>
    <t>Teknos primer</t>
  </si>
  <si>
    <t>£ per litre</t>
  </si>
  <si>
    <t>Coverage per SQM</t>
  </si>
  <si>
    <t>Labour Cost.</t>
  </si>
  <si>
    <t>Mouister Resistant MDF Cost.</t>
  </si>
  <si>
    <t>Shaker door</t>
  </si>
  <si>
    <t>Door with Primer:</t>
  </si>
  <si>
    <t>18MM panel</t>
  </si>
  <si>
    <r>
      <t xml:space="preserve">Shaker </t>
    </r>
    <r>
      <rPr>
        <b/>
        <u/>
        <sz val="11"/>
        <color rgb="FFFF0000"/>
        <rFont val="Calibri"/>
        <family val="2"/>
        <scheme val="minor"/>
      </rPr>
      <t xml:space="preserve">RAISED </t>
    </r>
    <r>
      <rPr>
        <b/>
        <u/>
        <sz val="11"/>
        <rFont val="Calibri"/>
        <family val="2"/>
        <scheme val="minor"/>
      </rPr>
      <t>PANEL door</t>
    </r>
  </si>
  <si>
    <t>NOTES:</t>
  </si>
  <si>
    <r>
      <rPr>
        <b/>
        <u/>
        <sz val="11"/>
        <color rgb="FFFF0000"/>
        <rFont val="Calibri"/>
        <family val="2"/>
        <scheme val="minor"/>
      </rPr>
      <t>Rasied</t>
    </r>
    <r>
      <rPr>
        <b/>
        <u/>
        <sz val="11"/>
        <color theme="1"/>
        <rFont val="Calibri"/>
        <family val="2"/>
        <scheme val="minor"/>
      </rPr>
      <t xml:space="preserve"> panel mark up</t>
    </r>
  </si>
  <si>
    <r>
      <rPr>
        <b/>
        <u/>
        <sz val="11"/>
        <color rgb="FFFF0000"/>
        <rFont val="Calibri"/>
        <family val="2"/>
        <scheme val="minor"/>
      </rPr>
      <t>Shaker</t>
    </r>
    <r>
      <rPr>
        <b/>
        <u/>
        <sz val="11"/>
        <color theme="1"/>
        <rFont val="Calibri"/>
        <family val="2"/>
        <scheme val="minor"/>
      </rPr>
      <t xml:space="preserve"> 1 panel door mark up</t>
    </r>
  </si>
  <si>
    <r>
      <t xml:space="preserve">1 x </t>
    </r>
    <r>
      <rPr>
        <b/>
        <u/>
        <sz val="11"/>
        <color rgb="FFFF0000"/>
        <rFont val="Calibri"/>
        <family val="2"/>
        <scheme val="minor"/>
      </rPr>
      <t>6mm</t>
    </r>
    <r>
      <rPr>
        <b/>
        <u/>
        <sz val="11"/>
        <color theme="1"/>
        <rFont val="Calibri"/>
        <family val="2"/>
        <scheme val="minor"/>
      </rPr>
      <t xml:space="preserve"> Panel mark up</t>
    </r>
  </si>
  <si>
    <t>Height (MM)</t>
  </si>
  <si>
    <t>Width (MM)</t>
  </si>
  <si>
    <r>
      <t xml:space="preserve">Minimum height </t>
    </r>
    <r>
      <rPr>
        <b/>
        <sz val="11"/>
        <color rgb="FFFF0000"/>
        <rFont val="Calibri"/>
        <family val="2"/>
        <scheme val="minor"/>
      </rPr>
      <t>250mm</t>
    </r>
    <r>
      <rPr>
        <sz val="11"/>
        <color theme="1"/>
        <rFont val="Calibri"/>
        <family val="2"/>
        <scheme val="minor"/>
      </rPr>
      <t xml:space="preserve">, minimum width </t>
    </r>
    <r>
      <rPr>
        <b/>
        <sz val="11"/>
        <color rgb="FFFF0000"/>
        <rFont val="Calibri"/>
        <family val="2"/>
        <scheme val="minor"/>
      </rPr>
      <t>250mm</t>
    </r>
    <r>
      <rPr>
        <sz val="11"/>
        <color theme="1"/>
        <rFont val="Calibri"/>
        <family val="2"/>
        <scheme val="minor"/>
      </rPr>
      <t>.</t>
    </r>
  </si>
  <si>
    <r>
      <t xml:space="preserve">Maximum height </t>
    </r>
    <r>
      <rPr>
        <b/>
        <sz val="11"/>
        <color rgb="FFFF0000"/>
        <rFont val="Calibri"/>
        <family val="2"/>
        <scheme val="minor"/>
      </rPr>
      <t>1000mm</t>
    </r>
    <r>
      <rPr>
        <sz val="11"/>
        <color theme="1"/>
        <rFont val="Calibri"/>
        <family val="2"/>
        <scheme val="minor"/>
      </rPr>
      <t xml:space="preserve">, maximum width </t>
    </r>
    <r>
      <rPr>
        <b/>
        <sz val="11"/>
        <color rgb="FFFF0000"/>
        <rFont val="Calibri"/>
        <family val="2"/>
        <scheme val="minor"/>
      </rPr>
      <t>650mm</t>
    </r>
    <r>
      <rPr>
        <sz val="11"/>
        <color theme="1"/>
        <rFont val="Calibri"/>
        <family val="2"/>
        <scheme val="minor"/>
      </rPr>
      <t>.</t>
    </r>
  </si>
  <si>
    <t>Hinges</t>
  </si>
  <si>
    <t>Primer</t>
  </si>
  <si>
    <t>Raised panel</t>
  </si>
  <si>
    <t>Price</t>
  </si>
  <si>
    <t>No</t>
  </si>
  <si>
    <t>None</t>
  </si>
  <si>
    <t>Quantity</t>
  </si>
  <si>
    <t>Delivery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</si>
</sst>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8"/>
      <color rgb="FF0070C0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2" fontId="0" fillId="0" borderId="0" xfId="0" applyNumberFormat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10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9" fontId="0" fillId="2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4" fillId="0" borderId="2" xfId="0" applyFont="1" applyBorder="1" applyAlignment="1">
      <alignment horizontal="center" wrapText="1"/>
    </xf>
    <xf numFmtId="2" fontId="4" fillId="0" borderId="3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9" fillId="5" borderId="2" xfId="0" applyFont="1" applyFill="1" applyBorder="1" applyAlignment="1">
      <alignment horizontal="center" wrapText="1"/>
    </xf>
    <xf numFmtId="1" fontId="9" fillId="5" borderId="4" xfId="0" applyNumberFormat="1" applyFont="1" applyFill="1" applyBorder="1" applyAlignment="1">
      <alignment horizontal="center"/>
    </xf>
    <xf numFmtId="1" fontId="9" fillId="5" borderId="3" xfId="0" applyNumberFormat="1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0" fillId="0" borderId="13" xfId="0" applyBorder="1" applyAlignment="1">
      <alignment horizontal="center"/>
    </xf>
    <xf numFmtId="10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10" fontId="0" fillId="0" borderId="14" xfId="0" applyNumberFormat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3" borderId="6" xfId="0" applyFill="1" applyBorder="1" applyAlignment="1">
      <alignment horizontal="center"/>
    </xf>
    <xf numFmtId="1" fontId="1" fillId="3" borderId="6" xfId="0" applyNumberFormat="1" applyFont="1" applyFill="1" applyBorder="1" applyAlignment="1">
      <alignment horizontal="center"/>
    </xf>
    <xf numFmtId="4" fontId="0" fillId="0" borderId="0" xfId="0" applyNumberFormat="1" applyAlignment="1">
      <alignment horizontal="center"/>
    </xf>
    <xf numFmtId="0" fontId="4" fillId="0" borderId="8" xfId="0" applyFont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2" fontId="0" fillId="2" borderId="7" xfId="0" applyNumberFormat="1" applyFill="1" applyBorder="1"/>
    <xf numFmtId="0" fontId="0" fillId="2" borderId="7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2" fontId="4" fillId="5" borderId="20" xfId="0" applyNumberFormat="1" applyFont="1" applyFill="1" applyBorder="1" applyAlignment="1">
      <alignment horizontal="center"/>
    </xf>
    <xf numFmtId="2" fontId="4" fillId="5" borderId="2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2" fontId="0" fillId="0" borderId="0" xfId="0" applyNumberFormat="1"/>
    <xf numFmtId="0" fontId="4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2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4" fillId="6" borderId="8" xfId="0" applyFont="1" applyFill="1" applyBorder="1" applyAlignment="1">
      <alignment horizontal="center" wrapText="1"/>
    </xf>
    <xf numFmtId="0" fontId="0" fillId="3" borderId="6" xfId="0" applyFill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0" fillId="7" borderId="8" xfId="0" applyFill="1" applyBorder="1" applyAlignment="1">
      <alignment horizontal="center"/>
    </xf>
    <xf numFmtId="2" fontId="11" fillId="2" borderId="22" xfId="0" applyNumberFormat="1" applyFont="1" applyFill="1" applyBorder="1" applyAlignment="1">
      <alignment wrapText="1"/>
    </xf>
    <xf numFmtId="2" fontId="0" fillId="2" borderId="22" xfId="0" applyNumberFormat="1" applyFill="1" applyBorder="1" applyAlignment="1">
      <alignment wrapText="1"/>
    </xf>
    <xf numFmtId="2" fontId="0" fillId="2" borderId="24" xfId="0" applyNumberFormat="1" applyFill="1" applyBorder="1" applyAlignment="1">
      <alignment wrapText="1"/>
    </xf>
    <xf numFmtId="0" fontId="4" fillId="0" borderId="23" xfId="0" applyFont="1" applyBorder="1" applyAlignment="1">
      <alignment horizontal="center" wrapText="1"/>
    </xf>
    <xf numFmtId="1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7CE1B-4FC2-4F42-8A6E-B39FEDFA6BCE}">
  <dimension ref="A1:L15"/>
  <sheetViews>
    <sheetView tabSelected="1" zoomScaleNormal="100" workbookViewId="0">
      <selection activeCell="F22" sqref="F22"/>
    </sheetView>
  </sheetViews>
  <sheetFormatPr defaultRowHeight="14.4" x14ac:dyDescent="0.55000000000000004"/>
  <cols>
    <col min="1" max="1" width="44.7890625" style="2" bestFit="1" customWidth="1"/>
    <col min="2" max="2" width="10.83984375" style="2" bestFit="1" customWidth="1"/>
    <col min="3" max="3" width="10.5234375" style="2" bestFit="1" customWidth="1"/>
    <col min="4" max="4" width="11.83984375" style="9" customWidth="1"/>
    <col min="5" max="5" width="11.5234375" style="9" customWidth="1"/>
    <col min="6" max="6" width="64.68359375" style="2" bestFit="1" customWidth="1"/>
  </cols>
  <sheetData>
    <row r="1" spans="1:12" s="11" customFormat="1" ht="18.600000000000001" thickBot="1" x14ac:dyDescent="0.75">
      <c r="A1" s="40" t="s">
        <v>46</v>
      </c>
      <c r="B1" s="2"/>
      <c r="C1" s="2"/>
      <c r="D1" s="9"/>
      <c r="E1" s="9"/>
      <c r="F1" s="9"/>
    </row>
    <row r="2" spans="1:12" s="11" customFormat="1" ht="14.7" thickBot="1" x14ac:dyDescent="0.6">
      <c r="A2" s="9"/>
      <c r="B2" s="2"/>
      <c r="C2" s="2"/>
      <c r="D2" s="9"/>
      <c r="E2" s="9"/>
      <c r="F2" s="9"/>
    </row>
    <row r="3" spans="1:12" ht="29.1" thickBot="1" x14ac:dyDescent="0.6">
      <c r="A3" s="23" t="s">
        <v>26</v>
      </c>
      <c r="B3" s="24" t="s">
        <v>69</v>
      </c>
      <c r="C3" s="24" t="s">
        <v>70</v>
      </c>
      <c r="D3" s="41" t="s">
        <v>13</v>
      </c>
      <c r="E3" s="62" t="s">
        <v>45</v>
      </c>
      <c r="F3" s="44" t="s">
        <v>65</v>
      </c>
      <c r="G3" s="2"/>
      <c r="H3" s="2"/>
      <c r="I3" s="2"/>
      <c r="J3" s="2"/>
      <c r="K3" s="2"/>
    </row>
    <row r="4" spans="1:12" ht="14.7" thickBot="1" x14ac:dyDescent="0.6">
      <c r="A4" s="9"/>
      <c r="F4" s="9"/>
      <c r="G4" s="9"/>
      <c r="H4" s="9"/>
      <c r="I4" s="9"/>
      <c r="J4" s="9"/>
      <c r="K4" s="2"/>
    </row>
    <row r="5" spans="1:12" ht="14.7" thickBot="1" x14ac:dyDescent="0.6">
      <c r="A5" s="52" t="s">
        <v>61</v>
      </c>
      <c r="B5" s="28">
        <v>700</v>
      </c>
      <c r="C5" s="29">
        <v>500</v>
      </c>
      <c r="D5" s="42">
        <f>ROUNDUP('Shaker door'!J24,0)</f>
        <v>62</v>
      </c>
      <c r="E5" s="42">
        <f>ROUNDUP('Shaker door'!J25,0)</f>
        <v>74</v>
      </c>
      <c r="F5" s="64" t="s">
        <v>71</v>
      </c>
      <c r="G5" s="2"/>
      <c r="H5" s="2"/>
      <c r="I5" s="2"/>
      <c r="J5" s="2"/>
      <c r="K5" s="2"/>
      <c r="L5" s="2"/>
    </row>
    <row r="6" spans="1:12" ht="14.7" thickBot="1" x14ac:dyDescent="0.6">
      <c r="A6" s="55"/>
      <c r="C6"/>
      <c r="D6" s="69"/>
      <c r="E6" s="69"/>
      <c r="F6" s="64" t="s">
        <v>72</v>
      </c>
      <c r="G6" s="2"/>
      <c r="H6" s="2"/>
      <c r="I6" s="2"/>
      <c r="J6" s="2"/>
      <c r="K6" s="2"/>
      <c r="L6" s="2"/>
    </row>
    <row r="7" spans="1:12" ht="14.7" thickBot="1" x14ac:dyDescent="0.6"/>
    <row r="8" spans="1:12" ht="14.7" thickBot="1" x14ac:dyDescent="0.6">
      <c r="A8" s="52" t="s">
        <v>64</v>
      </c>
      <c r="B8" s="28">
        <v>700</v>
      </c>
      <c r="C8" s="29">
        <v>500</v>
      </c>
      <c r="D8" s="42">
        <f>ROUNDUP('Shaker RAISED PANEL door'!J24,0)</f>
        <v>85</v>
      </c>
      <c r="E8" s="42">
        <f>ROUNDUP('Shaker RAISED PANEL door'!J25,0)</f>
        <v>101</v>
      </c>
      <c r="F8" s="64" t="s">
        <v>71</v>
      </c>
      <c r="G8" s="2"/>
      <c r="H8" s="2"/>
      <c r="I8" s="9"/>
      <c r="J8" s="9"/>
      <c r="K8" s="2"/>
    </row>
    <row r="9" spans="1:12" ht="14.7" thickBot="1" x14ac:dyDescent="0.6">
      <c r="C9"/>
      <c r="F9" s="64" t="s">
        <v>72</v>
      </c>
      <c r="G9" s="2"/>
      <c r="H9" s="2"/>
      <c r="I9" s="9"/>
      <c r="J9" s="9"/>
      <c r="K9" s="2"/>
    </row>
    <row r="11" spans="1:12" x14ac:dyDescent="0.55000000000000004">
      <c r="B11" t="s">
        <v>74</v>
      </c>
      <c r="C11" t="s">
        <v>75</v>
      </c>
      <c r="D11" t="s">
        <v>73</v>
      </c>
      <c r="E11" t="s">
        <v>76</v>
      </c>
    </row>
    <row r="12" spans="1:12" x14ac:dyDescent="0.55000000000000004">
      <c r="B12" t="s">
        <v>78</v>
      </c>
      <c r="C12" t="s">
        <v>77</v>
      </c>
      <c r="D12" t="s">
        <v>78</v>
      </c>
      <c r="E12">
        <f>(IF(D12="Two",10,IF(D12="Four",20,0))+IF(AND(B12&lt;&gt;"None",C12="Yes"),E8,IF(AND(B12&lt;&gt;"None",C12="No"),E5,IF(AND(B12="None",C12="Yes"),D8,D5))))*B15+(IF(C15="Yes",(B15*10)+10,0))</f>
        <v>62</v>
      </c>
    </row>
    <row r="14" spans="1:12" x14ac:dyDescent="0.55000000000000004">
      <c r="B14" t="s">
        <v>79</v>
      </c>
      <c r="C14" t="s">
        <v>80</v>
      </c>
      <c r="D14"/>
    </row>
    <row r="15" spans="1:12" x14ac:dyDescent="0.55000000000000004">
      <c r="B15">
        <v>1</v>
      </c>
      <c r="C15" t="s">
        <v>77</v>
      </c>
      <c r="D15" s="7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8CCF8-ACEB-40C4-A467-D7D9087440D0}">
  <dimension ref="A1:J23"/>
  <sheetViews>
    <sheetView zoomScaleNormal="100" workbookViewId="0">
      <selection activeCell="D22" sqref="D22"/>
    </sheetView>
  </sheetViews>
  <sheetFormatPr defaultRowHeight="14.4" x14ac:dyDescent="0.55000000000000004"/>
  <cols>
    <col min="1" max="1" width="19.1015625" style="3" bestFit="1" customWidth="1"/>
    <col min="2" max="2" width="16.20703125" style="2" bestFit="1" customWidth="1"/>
    <col min="3" max="3" width="18" style="2" bestFit="1" customWidth="1"/>
    <col min="4" max="4" width="16.1015625" style="2" bestFit="1" customWidth="1"/>
    <col min="5" max="5" width="9.83984375" style="2" bestFit="1" customWidth="1"/>
    <col min="7" max="7" width="9.68359375" bestFit="1" customWidth="1"/>
    <col min="8" max="9" width="10" customWidth="1"/>
    <col min="10" max="10" width="9.7890625" customWidth="1"/>
  </cols>
  <sheetData>
    <row r="1" spans="1:10" ht="14.7" thickBot="1" x14ac:dyDescent="0.6"/>
    <row r="2" spans="1:10" ht="29.1" thickBot="1" x14ac:dyDescent="0.6">
      <c r="A2" s="61" t="s">
        <v>60</v>
      </c>
    </row>
    <row r="3" spans="1:10" ht="14.7" thickBot="1" x14ac:dyDescent="0.6">
      <c r="A3" s="3" t="s">
        <v>48</v>
      </c>
      <c r="B3" s="2" t="s">
        <v>52</v>
      </c>
      <c r="C3" s="2" t="s">
        <v>53</v>
      </c>
      <c r="D3" s="2" t="s">
        <v>54</v>
      </c>
      <c r="E3" s="2" t="s">
        <v>10</v>
      </c>
      <c r="F3" s="2" t="s">
        <v>28</v>
      </c>
    </row>
    <row r="4" spans="1:10" x14ac:dyDescent="0.55000000000000004">
      <c r="A4" s="3" t="s">
        <v>49</v>
      </c>
      <c r="B4" s="45">
        <v>20.48</v>
      </c>
      <c r="C4" s="43">
        <f>B4*1.2</f>
        <v>24.576000000000001</v>
      </c>
      <c r="D4" s="2">
        <v>2.88</v>
      </c>
      <c r="E4" s="53">
        <f>C4/D4</f>
        <v>8.5333333333333332</v>
      </c>
      <c r="F4" s="49">
        <v>1.5</v>
      </c>
    </row>
    <row r="5" spans="1:10" x14ac:dyDescent="0.55000000000000004">
      <c r="A5" s="3" t="s">
        <v>50</v>
      </c>
      <c r="B5" s="45">
        <v>32.24</v>
      </c>
      <c r="C5" s="43">
        <f>B5*1.2</f>
        <v>38.688000000000002</v>
      </c>
      <c r="D5" s="2">
        <v>2.88</v>
      </c>
      <c r="E5" s="54">
        <f>C5/D5</f>
        <v>13.433333333333335</v>
      </c>
      <c r="F5" s="49">
        <v>1.5</v>
      </c>
    </row>
    <row r="6" spans="1:10" x14ac:dyDescent="0.55000000000000004">
      <c r="A6" s="3" t="s">
        <v>51</v>
      </c>
      <c r="B6" s="45">
        <v>53.6</v>
      </c>
      <c r="C6" s="43">
        <f>B6*1.2</f>
        <v>64.319999999999993</v>
      </c>
      <c r="D6" s="2">
        <v>2.88</v>
      </c>
      <c r="E6" s="54">
        <f>C6/D6</f>
        <v>22.333333333333332</v>
      </c>
      <c r="F6" s="49">
        <v>1.5</v>
      </c>
    </row>
    <row r="7" spans="1:10" ht="14.7" thickBot="1" x14ac:dyDescent="0.6"/>
    <row r="8" spans="1:10" ht="14.7" thickBot="1" x14ac:dyDescent="0.6">
      <c r="A8" s="61" t="s">
        <v>55</v>
      </c>
      <c r="B8" s="2" t="s">
        <v>58</v>
      </c>
      <c r="C8" s="2" t="s">
        <v>57</v>
      </c>
      <c r="D8" s="2" t="s">
        <v>28</v>
      </c>
    </row>
    <row r="9" spans="1:10" x14ac:dyDescent="0.55000000000000004">
      <c r="A9" s="3" t="s">
        <v>56</v>
      </c>
      <c r="B9" s="51">
        <v>8</v>
      </c>
      <c r="C9" s="50">
        <v>5</v>
      </c>
      <c r="D9" s="46">
        <v>3</v>
      </c>
    </row>
    <row r="10" spans="1:10" ht="14.7" thickBot="1" x14ac:dyDescent="0.6"/>
    <row r="11" spans="1:10" ht="14.7" thickBot="1" x14ac:dyDescent="0.6">
      <c r="A11" s="61" t="s">
        <v>59</v>
      </c>
      <c r="F11" s="2"/>
    </row>
    <row r="12" spans="1:10" ht="43.2" x14ac:dyDescent="0.55000000000000004">
      <c r="A12" s="3" t="s">
        <v>3</v>
      </c>
      <c r="B12" s="2" t="s">
        <v>7</v>
      </c>
      <c r="C12" s="3" t="s">
        <v>8</v>
      </c>
      <c r="D12" s="3" t="s">
        <v>4</v>
      </c>
      <c r="E12" s="3" t="s">
        <v>5</v>
      </c>
      <c r="F12" s="3" t="s">
        <v>6</v>
      </c>
    </row>
    <row r="13" spans="1:10" x14ac:dyDescent="0.55000000000000004">
      <c r="A13" s="57">
        <v>15.4</v>
      </c>
      <c r="B13" s="4">
        <v>1.1299999999999999</v>
      </c>
      <c r="C13" s="2">
        <v>1.1819999999999999</v>
      </c>
      <c r="D13" s="4">
        <v>1.02</v>
      </c>
      <c r="E13" s="4">
        <v>1.05</v>
      </c>
      <c r="F13" s="2">
        <v>1.25</v>
      </c>
    </row>
    <row r="14" spans="1:10" x14ac:dyDescent="0.55000000000000004">
      <c r="A14" s="58"/>
      <c r="B14" s="4"/>
      <c r="D14" s="4"/>
      <c r="E14" s="4"/>
      <c r="F14" s="2"/>
    </row>
    <row r="15" spans="1:10" ht="14.7" thickBot="1" x14ac:dyDescent="0.6">
      <c r="A15" s="59"/>
      <c r="B15" s="56"/>
      <c r="C15" s="56"/>
      <c r="D15" s="56"/>
      <c r="E15" s="55"/>
      <c r="F15" s="4"/>
      <c r="G15" s="2"/>
      <c r="H15" s="4"/>
      <c r="I15" s="4"/>
      <c r="J15" s="2"/>
    </row>
    <row r="16" spans="1:10" ht="29.1" thickBot="1" x14ac:dyDescent="0.6">
      <c r="A16" s="63" t="s">
        <v>67</v>
      </c>
      <c r="B16" s="55"/>
      <c r="C16" s="4"/>
      <c r="E16" s="4"/>
      <c r="F16" s="4"/>
      <c r="G16" s="2"/>
    </row>
    <row r="17" spans="1:10" ht="14.7" thickBot="1" x14ac:dyDescent="0.6">
      <c r="A17" s="65">
        <v>6</v>
      </c>
      <c r="B17" s="55"/>
      <c r="C17" s="4"/>
      <c r="E17" s="4"/>
      <c r="F17" s="4"/>
      <c r="G17" s="2"/>
    </row>
    <row r="18" spans="1:10" ht="14.7" thickBot="1" x14ac:dyDescent="0.6">
      <c r="A18" s="60"/>
      <c r="B18" s="55"/>
      <c r="C18" s="4"/>
      <c r="E18" s="4"/>
      <c r="F18" s="4"/>
      <c r="G18" s="2"/>
    </row>
    <row r="19" spans="1:10" ht="28.8" x14ac:dyDescent="0.55000000000000004">
      <c r="A19" s="68" t="s">
        <v>68</v>
      </c>
      <c r="B19" s="55"/>
      <c r="C19" s="4"/>
      <c r="E19" s="4"/>
      <c r="F19" s="4"/>
      <c r="G19" s="2"/>
    </row>
    <row r="20" spans="1:10" ht="14.7" thickBot="1" x14ac:dyDescent="0.6">
      <c r="A20" s="67">
        <v>4</v>
      </c>
      <c r="B20" s="55"/>
      <c r="C20" s="4"/>
      <c r="E20" s="4"/>
      <c r="F20" s="4"/>
      <c r="G20" s="2"/>
    </row>
    <row r="21" spans="1:10" ht="14.7" thickBot="1" x14ac:dyDescent="0.6">
      <c r="A21" s="60"/>
      <c r="B21"/>
      <c r="C21"/>
      <c r="D21"/>
      <c r="E21" s="55"/>
      <c r="F21" s="4"/>
      <c r="G21" s="2"/>
      <c r="H21" s="4"/>
      <c r="I21" s="4"/>
      <c r="J21" s="2"/>
    </row>
    <row r="22" spans="1:10" ht="14.7" thickBot="1" x14ac:dyDescent="0.6">
      <c r="A22" s="63" t="s">
        <v>66</v>
      </c>
      <c r="B22"/>
      <c r="C22"/>
      <c r="D22"/>
      <c r="E22" s="55"/>
      <c r="F22" s="4"/>
      <c r="G22" s="2"/>
      <c r="H22" s="4"/>
      <c r="I22" s="4"/>
      <c r="J22" s="2"/>
    </row>
    <row r="23" spans="1:10" ht="14.7" thickBot="1" x14ac:dyDescent="0.6">
      <c r="A23" s="66">
        <v>7</v>
      </c>
      <c r="B23"/>
      <c r="C23"/>
      <c r="D23"/>
      <c r="E23" s="55"/>
      <c r="F23" s="4"/>
      <c r="G23" s="2"/>
      <c r="H23" s="4"/>
      <c r="I23" s="4"/>
      <c r="J23" s="2"/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7E5BF-809D-49E3-84C2-A8F81F03F4A1}">
  <dimension ref="A1:BR29"/>
  <sheetViews>
    <sheetView zoomScale="70" zoomScaleNormal="70" workbookViewId="0">
      <selection activeCell="D21" sqref="D21"/>
    </sheetView>
  </sheetViews>
  <sheetFormatPr defaultRowHeight="14.4" x14ac:dyDescent="0.55000000000000004"/>
  <cols>
    <col min="1" max="1" width="38.5234375" bestFit="1" customWidth="1"/>
    <col min="2" max="2" width="18.47265625" bestFit="1" customWidth="1"/>
    <col min="3" max="3" width="27.47265625" bestFit="1" customWidth="1"/>
    <col min="4" max="4" width="13.68359375" bestFit="1" customWidth="1"/>
    <col min="5" max="5" width="19.83984375" bestFit="1" customWidth="1"/>
    <col min="6" max="6" width="17.47265625" bestFit="1" customWidth="1"/>
    <col min="7" max="7" width="7.20703125" bestFit="1" customWidth="1"/>
    <col min="8" max="8" width="8" bestFit="1" customWidth="1"/>
    <col min="9" max="9" width="11.7890625" bestFit="1" customWidth="1"/>
    <col min="10" max="10" width="18.83984375" customWidth="1"/>
    <col min="11" max="11" width="10.68359375" style="2" customWidth="1"/>
    <col min="12" max="12" width="5.68359375" customWidth="1"/>
  </cols>
  <sheetData>
    <row r="1" spans="1:54" s="11" customFormat="1" ht="23.4" thickBot="1" x14ac:dyDescent="0.9">
      <c r="A1" s="39" t="str">
        <f>'Price sheet'!A5</f>
        <v>Shaker door</v>
      </c>
      <c r="B1" s="2"/>
      <c r="C1" s="2"/>
      <c r="D1" s="2"/>
      <c r="K1" s="9"/>
      <c r="S1" s="2"/>
      <c r="T1" s="2"/>
      <c r="U1" s="2"/>
      <c r="V1" s="2"/>
      <c r="W1" s="2"/>
      <c r="X1"/>
      <c r="AC1" s="6"/>
    </row>
    <row r="2" spans="1:54" x14ac:dyDescent="0.55000000000000004">
      <c r="A2" s="2" t="s">
        <v>20</v>
      </c>
      <c r="B2" s="2" t="s">
        <v>21</v>
      </c>
      <c r="C2" s="2" t="s">
        <v>23</v>
      </c>
      <c r="D2" s="2" t="s">
        <v>24</v>
      </c>
      <c r="S2" s="21"/>
      <c r="T2" s="21"/>
      <c r="U2" s="21"/>
      <c r="V2" s="21"/>
      <c r="W2" s="2"/>
      <c r="AC2" s="5"/>
    </row>
    <row r="3" spans="1:54" x14ac:dyDescent="0.55000000000000004">
      <c r="A3" s="4">
        <f>C3/D3</f>
        <v>22.857142857142858</v>
      </c>
      <c r="B3" s="12">
        <v>10</v>
      </c>
      <c r="C3" s="12">
        <v>8</v>
      </c>
      <c r="D3" s="12">
        <v>0.35</v>
      </c>
      <c r="S3" s="2"/>
      <c r="T3" s="2"/>
      <c r="U3" s="2"/>
      <c r="V3" s="2"/>
      <c r="W3" s="2"/>
    </row>
    <row r="5" spans="1:54" s="5" customFormat="1" x14ac:dyDescent="0.55000000000000004">
      <c r="A5" s="48"/>
      <c r="B5" s="9"/>
      <c r="C5" s="9"/>
      <c r="D5" s="9"/>
      <c r="E5" s="9"/>
      <c r="F5" s="9"/>
      <c r="G5" s="9"/>
      <c r="H5" s="9"/>
      <c r="I5" s="9"/>
      <c r="J5" s="9"/>
      <c r="K5" s="21"/>
      <c r="AH5"/>
      <c r="AI5" s="2"/>
    </row>
    <row r="6" spans="1:54" x14ac:dyDescent="0.55000000000000004">
      <c r="A6" s="47" t="s">
        <v>25</v>
      </c>
      <c r="B6" s="2"/>
      <c r="C6" s="3"/>
      <c r="D6" s="3"/>
      <c r="E6" s="3"/>
      <c r="F6" s="3"/>
      <c r="G6" s="3"/>
      <c r="H6" s="9"/>
      <c r="I6" s="9"/>
      <c r="J6" s="17" t="s">
        <v>22</v>
      </c>
    </row>
    <row r="7" spans="1:54" x14ac:dyDescent="0.55000000000000004">
      <c r="A7" s="2"/>
      <c r="B7" s="4"/>
      <c r="C7" s="2"/>
      <c r="D7" s="4"/>
      <c r="E7" s="4"/>
      <c r="F7" s="2"/>
      <c r="G7" s="2"/>
      <c r="H7" s="9"/>
      <c r="I7" s="9"/>
      <c r="J7" s="18">
        <f>Costs!A13*Costs!B13*Costs!C13*Costs!D13*Costs!E13*Costs!F13/60</f>
        <v>0.45894947174999989</v>
      </c>
      <c r="AG7" s="2"/>
    </row>
    <row r="8" spans="1:54" x14ac:dyDescent="0.55000000000000004">
      <c r="A8" s="2"/>
      <c r="B8" s="2"/>
      <c r="C8" s="2"/>
      <c r="D8" s="2"/>
      <c r="E8" s="2"/>
      <c r="F8" s="2"/>
      <c r="G8" s="2"/>
      <c r="H8" s="2"/>
      <c r="I8" s="2"/>
      <c r="J8" s="2"/>
      <c r="AA8" s="2"/>
      <c r="AG8" s="2"/>
      <c r="AH8" s="2"/>
      <c r="AI8" s="2"/>
      <c r="AL8" s="2"/>
      <c r="AU8" s="2"/>
    </row>
    <row r="9" spans="1:54" x14ac:dyDescent="0.55000000000000004">
      <c r="A9" s="20" t="s">
        <v>17</v>
      </c>
      <c r="B9" s="2"/>
      <c r="C9" s="2"/>
      <c r="D9" s="2"/>
      <c r="E9" s="2"/>
      <c r="F9" s="2"/>
      <c r="G9" s="2"/>
      <c r="H9" s="2"/>
      <c r="I9" s="2"/>
      <c r="J9" s="2"/>
      <c r="AI9" s="2"/>
      <c r="AR9" s="2"/>
      <c r="AS9" s="2"/>
      <c r="AV9" s="2"/>
      <c r="AW9" s="2"/>
    </row>
    <row r="10" spans="1:54" ht="16.5" customHeight="1" x14ac:dyDescent="0.55000000000000004">
      <c r="A10" s="2" t="s">
        <v>26</v>
      </c>
      <c r="B10" s="2" t="s">
        <v>2</v>
      </c>
      <c r="C10" s="2" t="s">
        <v>19</v>
      </c>
      <c r="D10" s="2" t="s">
        <v>1</v>
      </c>
      <c r="E10" s="3" t="s">
        <v>36</v>
      </c>
      <c r="F10" s="2" t="s">
        <v>35</v>
      </c>
      <c r="G10" s="2" t="s">
        <v>9</v>
      </c>
      <c r="H10" s="2" t="s">
        <v>28</v>
      </c>
      <c r="I10" s="2" t="s">
        <v>44</v>
      </c>
      <c r="J10" s="19" t="s">
        <v>37</v>
      </c>
      <c r="AG10" s="2"/>
      <c r="AH10" s="2"/>
      <c r="AI10" s="2"/>
      <c r="AR10" s="2"/>
      <c r="AS10" s="2"/>
      <c r="AT10" s="2"/>
      <c r="AU10" s="2"/>
      <c r="AV10" s="2"/>
      <c r="AW10" s="2"/>
      <c r="AX10" s="2"/>
      <c r="BA10" s="2"/>
      <c r="BB10" s="2"/>
    </row>
    <row r="11" spans="1:54" ht="16.5" customHeight="1" x14ac:dyDescent="0.55000000000000004">
      <c r="A11" s="2" t="str">
        <f>A1</f>
        <v>Shaker door</v>
      </c>
      <c r="B11" s="2">
        <f>'Price sheet'!C5/1000</f>
        <v>0.5</v>
      </c>
      <c r="C11" s="2">
        <f>'Price sheet'!B5/1000</f>
        <v>0.7</v>
      </c>
      <c r="D11" s="2">
        <f>B11*C11</f>
        <v>0.35</v>
      </c>
      <c r="E11" s="2">
        <f>(A3*D11)+B3-E12</f>
        <v>17</v>
      </c>
      <c r="F11" s="4">
        <f>J7</f>
        <v>0.45894947174999989</v>
      </c>
      <c r="G11" s="4">
        <f>E11*F11</f>
        <v>7.8021410197499979</v>
      </c>
      <c r="H11" s="4">
        <f>Costs!A17</f>
        <v>6</v>
      </c>
      <c r="I11" s="4">
        <f>G11*H11</f>
        <v>46.812846118499991</v>
      </c>
      <c r="J11" s="18">
        <f>I11+I12</f>
        <v>48.648644005499989</v>
      </c>
      <c r="Y11" s="2"/>
      <c r="AF11" s="2"/>
      <c r="AG11" s="2"/>
      <c r="AH11" s="2"/>
      <c r="AI11" s="2"/>
      <c r="AJ11" s="2"/>
      <c r="AK11" s="2"/>
      <c r="AL11" s="2"/>
      <c r="AM11" s="2"/>
      <c r="AN11" s="2"/>
      <c r="AY11" s="2"/>
      <c r="AZ11" s="2"/>
    </row>
    <row r="12" spans="1:54" ht="15.75" customHeight="1" x14ac:dyDescent="0.55000000000000004">
      <c r="A12" s="2" t="s">
        <v>43</v>
      </c>
      <c r="B12" s="2">
        <f>B11-0.14</f>
        <v>0.36</v>
      </c>
      <c r="C12" s="2">
        <f>C11-0.14</f>
        <v>0.55999999999999994</v>
      </c>
      <c r="D12" s="4">
        <f>B12*C12</f>
        <v>0.20159999999999997</v>
      </c>
      <c r="E12" s="2">
        <v>1</v>
      </c>
      <c r="F12" s="4">
        <f>J7</f>
        <v>0.45894947174999989</v>
      </c>
      <c r="G12" s="4">
        <f>F12*E12</f>
        <v>0.45894947174999989</v>
      </c>
      <c r="H12" s="4">
        <f>Costs!A20</f>
        <v>4</v>
      </c>
      <c r="I12" s="4">
        <f>G12*H12</f>
        <v>1.8357978869999996</v>
      </c>
      <c r="J12" s="2"/>
      <c r="Y12" s="2"/>
      <c r="AM12" s="2"/>
      <c r="AN12" s="2"/>
      <c r="AW12" s="2"/>
      <c r="AX12" s="2"/>
      <c r="AY12" s="2"/>
    </row>
    <row r="13" spans="1:54" ht="15.75" customHeight="1" x14ac:dyDescent="0.55000000000000004">
      <c r="A13" s="2"/>
      <c r="B13" s="2"/>
      <c r="C13" s="2"/>
      <c r="D13" s="4"/>
      <c r="E13" s="2"/>
      <c r="F13" s="2"/>
      <c r="G13" s="2"/>
      <c r="H13" s="4"/>
      <c r="I13" s="14"/>
      <c r="J13" s="2"/>
      <c r="Y13" s="2"/>
      <c r="AM13" s="2"/>
      <c r="AN13" s="2"/>
      <c r="AW13" s="2"/>
      <c r="AX13" s="2"/>
      <c r="AY13" s="2"/>
    </row>
    <row r="14" spans="1:54" x14ac:dyDescent="0.55000000000000004">
      <c r="A14" s="20" t="s">
        <v>30</v>
      </c>
      <c r="B14" s="2"/>
      <c r="C14" s="2"/>
      <c r="D14" s="2"/>
      <c r="E14" s="2"/>
      <c r="F14" s="2"/>
      <c r="G14" s="2"/>
      <c r="H14" s="2"/>
      <c r="I14" s="2"/>
      <c r="J14" s="2"/>
      <c r="AC14" s="1"/>
    </row>
    <row r="15" spans="1:54" x14ac:dyDescent="0.55000000000000004">
      <c r="A15" s="2" t="s">
        <v>27</v>
      </c>
      <c r="B15" s="2" t="s">
        <v>0</v>
      </c>
      <c r="C15" s="2" t="s">
        <v>18</v>
      </c>
      <c r="D15" s="2" t="s">
        <v>10</v>
      </c>
      <c r="E15" s="2"/>
      <c r="F15" s="2"/>
      <c r="G15" s="2" t="s">
        <v>9</v>
      </c>
      <c r="H15" s="2" t="s">
        <v>28</v>
      </c>
      <c r="I15" s="2" t="s">
        <v>44</v>
      </c>
      <c r="J15" s="19" t="s">
        <v>37</v>
      </c>
      <c r="AC15" s="1"/>
    </row>
    <row r="16" spans="1:54" x14ac:dyDescent="0.55000000000000004">
      <c r="A16" s="2" t="s">
        <v>29</v>
      </c>
      <c r="B16" s="2">
        <f>D11</f>
        <v>0.35</v>
      </c>
      <c r="C16" s="13">
        <v>0.3</v>
      </c>
      <c r="D16" s="4">
        <f>Costs!E5</f>
        <v>13.433333333333335</v>
      </c>
      <c r="E16" s="2"/>
      <c r="F16" s="2"/>
      <c r="G16" s="4">
        <f>B16*D16*(1+C16)</f>
        <v>6.1121666666666679</v>
      </c>
      <c r="H16" s="4">
        <f>Costs!F5</f>
        <v>1.5</v>
      </c>
      <c r="I16" s="4">
        <f>G16*H16</f>
        <v>9.1682500000000022</v>
      </c>
      <c r="J16" s="18">
        <f>I16+I17</f>
        <v>12.522874000000002</v>
      </c>
      <c r="AL16" s="1"/>
    </row>
    <row r="17" spans="1:70" x14ac:dyDescent="0.55000000000000004">
      <c r="A17" s="2" t="s">
        <v>42</v>
      </c>
      <c r="B17" s="4">
        <f>D12</f>
        <v>0.20159999999999997</v>
      </c>
      <c r="C17" s="13">
        <v>0.3</v>
      </c>
      <c r="D17" s="4">
        <f>Costs!E4</f>
        <v>8.5333333333333332</v>
      </c>
      <c r="E17" s="2"/>
      <c r="F17" s="4"/>
      <c r="G17" s="4">
        <f>B17*D17*(1+C17)</f>
        <v>2.2364159999999997</v>
      </c>
      <c r="H17" s="4">
        <f>Costs!F4</f>
        <v>1.5</v>
      </c>
      <c r="I17" s="4">
        <f>H17*G17</f>
        <v>3.3546239999999994</v>
      </c>
      <c r="J17" s="30"/>
      <c r="AR17" s="3"/>
      <c r="BA17" s="3"/>
    </row>
    <row r="18" spans="1:70" x14ac:dyDescent="0.55000000000000004">
      <c r="A18" s="2"/>
      <c r="B18" s="9"/>
      <c r="C18" s="9"/>
      <c r="D18" s="2"/>
      <c r="E18" s="2"/>
      <c r="F18" s="4"/>
      <c r="G18" s="4"/>
      <c r="H18" s="2"/>
      <c r="I18" s="2"/>
      <c r="J18" s="4"/>
      <c r="AR18" s="3"/>
      <c r="BA18" s="3"/>
    </row>
    <row r="19" spans="1:70" x14ac:dyDescent="0.55000000000000004">
      <c r="A19" s="20" t="s">
        <v>31</v>
      </c>
      <c r="B19" s="2" t="s">
        <v>39</v>
      </c>
      <c r="C19" s="2" t="s">
        <v>1</v>
      </c>
      <c r="D19" s="2" t="s">
        <v>40</v>
      </c>
      <c r="E19" s="2" t="s">
        <v>38</v>
      </c>
      <c r="F19" s="2" t="s">
        <v>36</v>
      </c>
      <c r="G19" s="2" t="s">
        <v>9</v>
      </c>
      <c r="H19" s="2" t="s">
        <v>28</v>
      </c>
      <c r="J19" s="19" t="s">
        <v>12</v>
      </c>
      <c r="AC19" s="11"/>
      <c r="AT19" s="4"/>
      <c r="BC19" s="4"/>
    </row>
    <row r="20" spans="1:70" x14ac:dyDescent="0.55000000000000004">
      <c r="A20" s="2" t="s">
        <v>34</v>
      </c>
      <c r="B20" s="13">
        <v>0.3</v>
      </c>
      <c r="C20" s="2">
        <f>D11*2</f>
        <v>0.7</v>
      </c>
      <c r="D20" s="2">
        <f>(Costs!B9/Costs!C9)*'Shaker door'!C20</f>
        <v>1.1199999999999999</v>
      </c>
      <c r="E20" s="4">
        <f>J7</f>
        <v>0.45894947174999989</v>
      </c>
      <c r="F20" s="2">
        <v>6</v>
      </c>
      <c r="G20" s="4">
        <f>E20*F20+D20*(1+B20)</f>
        <v>4.2096968304999987</v>
      </c>
      <c r="H20" s="4">
        <f>Costs!D9</f>
        <v>3</v>
      </c>
      <c r="J20" s="18">
        <f>G20*H20</f>
        <v>12.629090491499996</v>
      </c>
      <c r="AC20" s="11"/>
    </row>
    <row r="21" spans="1:70" x14ac:dyDescent="0.55000000000000004">
      <c r="A21" s="2" t="s">
        <v>41</v>
      </c>
      <c r="B21" s="2"/>
      <c r="C21" s="2"/>
      <c r="D21" s="2"/>
      <c r="E21" s="2"/>
      <c r="F21" s="2"/>
      <c r="G21" s="2"/>
      <c r="H21" s="2"/>
      <c r="I21" s="2"/>
      <c r="J21" s="2"/>
      <c r="AC21" s="2"/>
    </row>
    <row r="22" spans="1:70" s="1" customFormat="1" x14ac:dyDescent="0.5500000000000000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AC22" s="2"/>
      <c r="AS22"/>
      <c r="AT22"/>
      <c r="AU22"/>
      <c r="AV22"/>
      <c r="BJ22" s="2"/>
      <c r="BK22" s="9"/>
      <c r="BL22" s="16"/>
      <c r="BR22"/>
    </row>
    <row r="23" spans="1:70" x14ac:dyDescent="0.55000000000000004">
      <c r="A23" s="20" t="s">
        <v>11</v>
      </c>
      <c r="B23" s="2" t="s">
        <v>15</v>
      </c>
      <c r="C23" s="3" t="s">
        <v>32</v>
      </c>
      <c r="D23" s="2" t="s">
        <v>33</v>
      </c>
      <c r="E23" s="2"/>
      <c r="F23" s="9"/>
      <c r="G23" s="9"/>
      <c r="H23" s="2"/>
      <c r="I23" s="2"/>
      <c r="J23" s="25" t="s">
        <v>12</v>
      </c>
      <c r="AC23" s="2"/>
      <c r="AS23" s="5"/>
      <c r="AT23" s="5"/>
      <c r="AU23" s="5"/>
      <c r="AV23" s="5"/>
      <c r="BJ23" s="7"/>
      <c r="BK23" s="10"/>
      <c r="BL23" s="8"/>
    </row>
    <row r="24" spans="1:70" x14ac:dyDescent="0.55000000000000004">
      <c r="A24" s="2" t="str">
        <f>A1</f>
        <v>Shaker door</v>
      </c>
      <c r="B24" s="4">
        <f>G16+G11</f>
        <v>13.914307686416667</v>
      </c>
      <c r="C24" s="15">
        <f>(D24-G16-G11)/J24</f>
        <v>0.77253617140634612</v>
      </c>
      <c r="D24" s="14">
        <f>J11+J16</f>
        <v>61.171518005499991</v>
      </c>
      <c r="E24" s="21"/>
      <c r="F24" s="21"/>
      <c r="G24" s="21"/>
      <c r="H24" s="2"/>
      <c r="I24" s="2"/>
      <c r="J24" s="26">
        <f>IF(B24=G11,0,D24)</f>
        <v>61.171518005499991</v>
      </c>
      <c r="AC24" s="2"/>
      <c r="AW24" s="7"/>
      <c r="AX24" s="10"/>
      <c r="AY24" s="8"/>
    </row>
    <row r="25" spans="1:70" x14ac:dyDescent="0.55000000000000004">
      <c r="A25" s="2" t="s">
        <v>62</v>
      </c>
      <c r="B25" s="4">
        <f>G11+G16</f>
        <v>13.914307686416667</v>
      </c>
      <c r="C25" s="15">
        <f>(D24-G16-G11)/J24</f>
        <v>0.77253617140634612</v>
      </c>
      <c r="D25" s="14">
        <f>J11+J16</f>
        <v>61.171518005499991</v>
      </c>
      <c r="E25" s="14"/>
      <c r="F25" s="2"/>
      <c r="G25" s="2"/>
      <c r="H25" s="2"/>
      <c r="I25" s="2"/>
      <c r="J25" s="27">
        <f>IF(B25=G12,0,D25)+J20</f>
        <v>73.800608496999985</v>
      </c>
      <c r="AG25" s="2"/>
      <c r="AW25" s="2"/>
      <c r="AX25" s="2"/>
      <c r="AY25" s="4"/>
      <c r="AZ25" s="4"/>
      <c r="BA25" s="4"/>
      <c r="BB25" s="7"/>
      <c r="BC25" s="10"/>
      <c r="BD25" s="8"/>
    </row>
    <row r="26" spans="1:70" ht="14.7" thickBot="1" x14ac:dyDescent="0.6">
      <c r="J26" s="2"/>
      <c r="L26" s="2"/>
      <c r="M26" s="2"/>
      <c r="N26" s="2"/>
      <c r="O26" s="2"/>
      <c r="P26" s="2"/>
      <c r="Q26" s="2"/>
      <c r="R26" s="2"/>
      <c r="S26" s="2"/>
      <c r="AG26" s="2"/>
      <c r="AP26" s="5"/>
    </row>
    <row r="27" spans="1:70" x14ac:dyDescent="0.55000000000000004">
      <c r="A27" s="31" t="s">
        <v>14</v>
      </c>
      <c r="B27" s="33"/>
      <c r="C27" s="34" t="s">
        <v>16</v>
      </c>
      <c r="D27" s="32"/>
      <c r="E27" s="22"/>
      <c r="F27" s="2"/>
      <c r="G27" s="2"/>
      <c r="H27" s="2"/>
      <c r="I27" s="2"/>
      <c r="J27" s="2"/>
      <c r="AE27" s="2"/>
      <c r="AI27" s="2"/>
    </row>
    <row r="28" spans="1:70" ht="14.4" customHeight="1" thickBot="1" x14ac:dyDescent="0.6">
      <c r="A28" s="35" t="str">
        <f>A1</f>
        <v>Shaker door</v>
      </c>
      <c r="B28" s="36">
        <f>G11/J24</f>
        <v>0.12754532295648605</v>
      </c>
      <c r="C28" s="37" t="str">
        <f>A1</f>
        <v>Shaker door</v>
      </c>
      <c r="D28" s="38">
        <f>G16/J24</f>
        <v>9.9918505637167893E-2</v>
      </c>
      <c r="E28" s="21"/>
      <c r="F28" s="2"/>
      <c r="G28" s="2"/>
      <c r="H28" s="2"/>
      <c r="I28" s="2"/>
      <c r="J28" s="2"/>
      <c r="L28" s="1"/>
      <c r="AE28" s="2"/>
      <c r="AI28" s="2"/>
    </row>
    <row r="29" spans="1:70" x14ac:dyDescent="0.55000000000000004">
      <c r="A29" s="2"/>
      <c r="B29" s="7"/>
      <c r="C29" s="2"/>
      <c r="D29" s="7"/>
      <c r="E29" s="21"/>
      <c r="F29" s="2"/>
      <c r="G29" s="2"/>
      <c r="H29" s="2"/>
      <c r="I29" s="2"/>
      <c r="J29" s="2"/>
      <c r="L29" s="1"/>
      <c r="AE29" s="2"/>
      <c r="AI29" s="2"/>
    </row>
  </sheetData>
  <phoneticPr fontId="7" type="noConversion"/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BAD96-1596-4D46-8E78-02BFC04A5BCC}">
  <dimension ref="A1:BR29"/>
  <sheetViews>
    <sheetView zoomScale="70" zoomScaleNormal="70" workbookViewId="0">
      <selection activeCell="C13" sqref="C13"/>
    </sheetView>
  </sheetViews>
  <sheetFormatPr defaultRowHeight="14.4" x14ac:dyDescent="0.55000000000000004"/>
  <cols>
    <col min="1" max="1" width="38.7890625" bestFit="1" customWidth="1"/>
    <col min="2" max="2" width="18.47265625" bestFit="1" customWidth="1"/>
    <col min="3" max="3" width="38.7890625" bestFit="1" customWidth="1"/>
    <col min="4" max="4" width="13.68359375" bestFit="1" customWidth="1"/>
    <col min="5" max="5" width="19.83984375" bestFit="1" customWidth="1"/>
    <col min="6" max="6" width="17.47265625" bestFit="1" customWidth="1"/>
    <col min="7" max="7" width="7.20703125" bestFit="1" customWidth="1"/>
    <col min="8" max="8" width="8" bestFit="1" customWidth="1"/>
    <col min="9" max="9" width="11.7890625" bestFit="1" customWidth="1"/>
    <col min="10" max="10" width="18.83984375" customWidth="1"/>
    <col min="11" max="11" width="10.68359375" style="2" customWidth="1"/>
    <col min="12" max="12" width="5.68359375" customWidth="1"/>
  </cols>
  <sheetData>
    <row r="1" spans="1:54" s="11" customFormat="1" ht="23.4" thickBot="1" x14ac:dyDescent="0.9">
      <c r="A1" s="39" t="str">
        <f>'Price sheet'!A8</f>
        <v>Shaker RAISED PANEL door</v>
      </c>
      <c r="B1" s="2"/>
      <c r="C1" s="2"/>
      <c r="D1" s="2"/>
      <c r="K1" s="9"/>
      <c r="S1" s="2"/>
      <c r="T1" s="2"/>
      <c r="U1" s="2"/>
      <c r="V1" s="2"/>
      <c r="W1" s="2"/>
      <c r="X1"/>
      <c r="AC1" s="6"/>
    </row>
    <row r="2" spans="1:54" x14ac:dyDescent="0.55000000000000004">
      <c r="A2" s="2" t="s">
        <v>20</v>
      </c>
      <c r="B2" s="2" t="s">
        <v>21</v>
      </c>
      <c r="C2" s="2" t="s">
        <v>23</v>
      </c>
      <c r="D2" s="2" t="s">
        <v>24</v>
      </c>
      <c r="S2" s="21"/>
      <c r="T2" s="21"/>
      <c r="U2" s="21"/>
      <c r="V2" s="21"/>
      <c r="W2" s="2"/>
      <c r="AC2" s="5"/>
    </row>
    <row r="3" spans="1:54" x14ac:dyDescent="0.55000000000000004">
      <c r="A3" s="4">
        <f>C3/D3</f>
        <v>37.142857142857146</v>
      </c>
      <c r="B3" s="12">
        <v>10</v>
      </c>
      <c r="C3" s="12">
        <v>13</v>
      </c>
      <c r="D3" s="12">
        <v>0.35</v>
      </c>
      <c r="S3" s="2"/>
      <c r="T3" s="2"/>
      <c r="U3" s="2"/>
      <c r="V3" s="2"/>
      <c r="W3" s="2"/>
    </row>
    <row r="5" spans="1:54" s="5" customFormat="1" x14ac:dyDescent="0.55000000000000004">
      <c r="A5" s="48"/>
      <c r="B5" s="9"/>
      <c r="C5" s="9"/>
      <c r="D5" s="9"/>
      <c r="E5" s="9"/>
      <c r="F5" s="9"/>
      <c r="G5" s="9"/>
      <c r="H5" s="9"/>
      <c r="I5" s="9"/>
      <c r="J5" s="9"/>
      <c r="K5" s="21"/>
      <c r="AH5"/>
      <c r="AI5" s="2"/>
    </row>
    <row r="6" spans="1:54" x14ac:dyDescent="0.55000000000000004">
      <c r="A6" s="47" t="s">
        <v>25</v>
      </c>
      <c r="B6" s="2"/>
      <c r="C6" s="3"/>
      <c r="D6" s="3"/>
      <c r="E6" s="3"/>
      <c r="F6" s="3"/>
      <c r="G6" s="3"/>
      <c r="H6" s="9"/>
      <c r="I6" s="9"/>
      <c r="J6" s="17" t="s">
        <v>22</v>
      </c>
    </row>
    <row r="7" spans="1:54" x14ac:dyDescent="0.55000000000000004">
      <c r="A7" s="2"/>
      <c r="B7" s="4"/>
      <c r="C7" s="2"/>
      <c r="D7" s="4"/>
      <c r="E7" s="4"/>
      <c r="F7" s="2"/>
      <c r="G7" s="2"/>
      <c r="H7" s="9"/>
      <c r="I7" s="9"/>
      <c r="J7" s="18">
        <f>Costs!A13*Costs!B13*Costs!C13*Costs!D13*Costs!E13*Costs!F13/60</f>
        <v>0.45894947174999989</v>
      </c>
      <c r="AG7" s="2"/>
    </row>
    <row r="8" spans="1:54" x14ac:dyDescent="0.55000000000000004">
      <c r="A8" s="2"/>
      <c r="B8" s="2"/>
      <c r="C8" s="2"/>
      <c r="D8" s="2"/>
      <c r="E8" s="2"/>
      <c r="F8" s="2"/>
      <c r="G8" s="2"/>
      <c r="H8" s="2"/>
      <c r="I8" s="2"/>
      <c r="J8" s="2"/>
      <c r="AA8" s="2"/>
      <c r="AG8" s="2"/>
      <c r="AH8" s="2"/>
      <c r="AI8" s="2"/>
      <c r="AL8" s="2"/>
      <c r="AU8" s="2"/>
    </row>
    <row r="9" spans="1:54" x14ac:dyDescent="0.55000000000000004">
      <c r="A9" s="20" t="s">
        <v>17</v>
      </c>
      <c r="B9" s="2"/>
      <c r="C9" s="2"/>
      <c r="D9" s="2"/>
      <c r="E9" s="2"/>
      <c r="F9" s="2"/>
      <c r="G9" s="2"/>
      <c r="H9" s="2"/>
      <c r="I9" s="2"/>
      <c r="J9" s="2"/>
      <c r="AI9" s="2"/>
      <c r="AR9" s="2"/>
      <c r="AS9" s="2"/>
      <c r="AV9" s="2"/>
      <c r="AW9" s="2"/>
    </row>
    <row r="10" spans="1:54" ht="16.5" customHeight="1" x14ac:dyDescent="0.55000000000000004">
      <c r="A10" s="2" t="s">
        <v>26</v>
      </c>
      <c r="B10" s="2" t="s">
        <v>2</v>
      </c>
      <c r="C10" s="2" t="s">
        <v>19</v>
      </c>
      <c r="D10" s="2" t="s">
        <v>1</v>
      </c>
      <c r="E10" s="3" t="s">
        <v>36</v>
      </c>
      <c r="F10" s="2" t="s">
        <v>35</v>
      </c>
      <c r="G10" s="2" t="s">
        <v>9</v>
      </c>
      <c r="H10" s="2" t="s">
        <v>28</v>
      </c>
      <c r="I10" s="2" t="s">
        <v>44</v>
      </c>
      <c r="J10" s="19" t="s">
        <v>37</v>
      </c>
      <c r="AG10" s="2"/>
      <c r="AH10" s="2"/>
      <c r="AI10" s="2"/>
      <c r="AR10" s="2"/>
      <c r="AS10" s="2"/>
      <c r="AT10" s="2"/>
      <c r="AU10" s="2"/>
      <c r="AV10" s="2"/>
      <c r="AW10" s="2"/>
      <c r="AX10" s="2"/>
      <c r="BA10" s="2"/>
      <c r="BB10" s="2"/>
    </row>
    <row r="11" spans="1:54" ht="16.5" customHeight="1" x14ac:dyDescent="0.55000000000000004">
      <c r="A11" s="2" t="str">
        <f>A1</f>
        <v>Shaker RAISED PANEL door</v>
      </c>
      <c r="B11" s="2">
        <f>'Price sheet'!C8/1000</f>
        <v>0.5</v>
      </c>
      <c r="C11" s="2">
        <f>'Price sheet'!B8/1000</f>
        <v>0.7</v>
      </c>
      <c r="D11" s="2">
        <f>B11*C11</f>
        <v>0.35</v>
      </c>
      <c r="E11" s="2">
        <f>(A3*D11)+B3-E12</f>
        <v>21</v>
      </c>
      <c r="F11" s="4">
        <f>J7</f>
        <v>0.45894947174999989</v>
      </c>
      <c r="G11" s="4">
        <f>E11*F11</f>
        <v>9.6379389067499979</v>
      </c>
      <c r="H11" s="4">
        <f>Costs!A17</f>
        <v>6</v>
      </c>
      <c r="I11" s="4">
        <f>G11*H11</f>
        <v>57.827633440499987</v>
      </c>
      <c r="J11" s="18">
        <f>I11+I12</f>
        <v>64.252926044999981</v>
      </c>
      <c r="Y11" s="2"/>
      <c r="AF11" s="2"/>
      <c r="AG11" s="2"/>
      <c r="AH11" s="2"/>
      <c r="AI11" s="2"/>
      <c r="AJ11" s="2"/>
      <c r="AK11" s="2"/>
      <c r="AL11" s="2"/>
      <c r="AM11" s="2"/>
      <c r="AN11" s="2"/>
      <c r="AY11" s="2"/>
      <c r="AZ11" s="2"/>
    </row>
    <row r="12" spans="1:54" ht="15.75" customHeight="1" x14ac:dyDescent="0.55000000000000004">
      <c r="A12" s="2" t="s">
        <v>63</v>
      </c>
      <c r="B12" s="2">
        <f>B11-0.14</f>
        <v>0.36</v>
      </c>
      <c r="C12" s="2">
        <f>C11-0.14</f>
        <v>0.55999999999999994</v>
      </c>
      <c r="D12" s="4">
        <f>B12*C12</f>
        <v>0.20159999999999997</v>
      </c>
      <c r="E12" s="2">
        <v>2</v>
      </c>
      <c r="F12" s="4">
        <f>J7</f>
        <v>0.45894947174999989</v>
      </c>
      <c r="G12" s="4">
        <f>F12*E12</f>
        <v>0.91789894349999979</v>
      </c>
      <c r="H12" s="4">
        <f>Costs!A23</f>
        <v>7</v>
      </c>
      <c r="I12" s="4">
        <f>G12*H12</f>
        <v>6.4252926044999983</v>
      </c>
      <c r="J12" s="2"/>
      <c r="Y12" s="2"/>
      <c r="AM12" s="2"/>
      <c r="AN12" s="2"/>
      <c r="AW12" s="2"/>
      <c r="AX12" s="2"/>
      <c r="AY12" s="2"/>
    </row>
    <row r="13" spans="1:54" ht="15.75" customHeight="1" x14ac:dyDescent="0.55000000000000004">
      <c r="A13" s="2"/>
      <c r="B13" s="2"/>
      <c r="C13" s="2"/>
      <c r="D13" s="4"/>
      <c r="E13" s="2"/>
      <c r="F13" s="2"/>
      <c r="G13" s="2"/>
      <c r="H13" s="4"/>
      <c r="I13" s="14"/>
      <c r="J13" s="2"/>
      <c r="Y13" s="2"/>
      <c r="AM13" s="2"/>
      <c r="AN13" s="2"/>
      <c r="AW13" s="2"/>
      <c r="AX13" s="2"/>
      <c r="AY13" s="2"/>
    </row>
    <row r="14" spans="1:54" x14ac:dyDescent="0.55000000000000004">
      <c r="A14" s="20" t="s">
        <v>30</v>
      </c>
      <c r="B14" s="2"/>
      <c r="C14" s="2"/>
      <c r="D14" s="2"/>
      <c r="E14" s="2"/>
      <c r="F14" s="2"/>
      <c r="G14" s="2"/>
      <c r="H14" s="2"/>
      <c r="I14" s="2"/>
      <c r="J14" s="2"/>
      <c r="AC14" s="1"/>
    </row>
    <row r="15" spans="1:54" x14ac:dyDescent="0.55000000000000004">
      <c r="A15" s="2" t="s">
        <v>27</v>
      </c>
      <c r="B15" s="2" t="s">
        <v>0</v>
      </c>
      <c r="C15" s="2" t="s">
        <v>18</v>
      </c>
      <c r="D15" s="2" t="s">
        <v>10</v>
      </c>
      <c r="E15" s="2"/>
      <c r="F15" s="2"/>
      <c r="G15" s="2" t="s">
        <v>9</v>
      </c>
      <c r="H15" s="2" t="s">
        <v>28</v>
      </c>
      <c r="I15" s="2" t="s">
        <v>44</v>
      </c>
      <c r="J15" s="19" t="s">
        <v>37</v>
      </c>
      <c r="AC15" s="1"/>
    </row>
    <row r="16" spans="1:54" x14ac:dyDescent="0.55000000000000004">
      <c r="A16" s="2" t="s">
        <v>47</v>
      </c>
      <c r="B16" s="2">
        <f>D11</f>
        <v>0.35</v>
      </c>
      <c r="C16" s="13">
        <v>0.3</v>
      </c>
      <c r="D16" s="4">
        <f>Costs!E6</f>
        <v>22.333333333333332</v>
      </c>
      <c r="E16" s="2"/>
      <c r="F16" s="2"/>
      <c r="G16" s="4">
        <f>B16*D16*(1+C16)</f>
        <v>10.161666666666665</v>
      </c>
      <c r="H16" s="4">
        <f>Costs!F5</f>
        <v>1.5</v>
      </c>
      <c r="I16" s="4">
        <f>G16*H16</f>
        <v>15.242499999999998</v>
      </c>
      <c r="J16" s="18">
        <f>I16+I17</f>
        <v>20.523412</v>
      </c>
      <c r="AL16" s="1"/>
    </row>
    <row r="17" spans="1:70" x14ac:dyDescent="0.55000000000000004">
      <c r="A17" s="2" t="s">
        <v>29</v>
      </c>
      <c r="B17" s="4">
        <f>D12</f>
        <v>0.20159999999999997</v>
      </c>
      <c r="C17" s="13">
        <v>0.3</v>
      </c>
      <c r="D17" s="4">
        <f>Costs!E5</f>
        <v>13.433333333333335</v>
      </c>
      <c r="E17" s="2"/>
      <c r="F17" s="4"/>
      <c r="G17" s="4">
        <f>B17*D17*(1+C17)</f>
        <v>3.5206080000000002</v>
      </c>
      <c r="H17" s="4">
        <f>Costs!F4</f>
        <v>1.5</v>
      </c>
      <c r="I17" s="4">
        <f>H17*G17</f>
        <v>5.2809120000000007</v>
      </c>
      <c r="J17" s="30"/>
      <c r="AR17" s="3"/>
      <c r="BA17" s="3"/>
    </row>
    <row r="18" spans="1:70" x14ac:dyDescent="0.55000000000000004">
      <c r="A18" s="2"/>
      <c r="B18" s="9"/>
      <c r="C18" s="9"/>
      <c r="D18" s="2"/>
      <c r="E18" s="2"/>
      <c r="F18" s="4"/>
      <c r="G18" s="4"/>
      <c r="H18" s="2"/>
      <c r="I18" s="2"/>
      <c r="J18" s="4"/>
      <c r="AR18" s="3"/>
      <c r="BA18" s="3"/>
    </row>
    <row r="19" spans="1:70" x14ac:dyDescent="0.55000000000000004">
      <c r="A19" s="20" t="s">
        <v>31</v>
      </c>
      <c r="B19" s="2" t="s">
        <v>39</v>
      </c>
      <c r="C19" s="2" t="s">
        <v>1</v>
      </c>
      <c r="D19" s="2" t="s">
        <v>40</v>
      </c>
      <c r="E19" s="2" t="s">
        <v>38</v>
      </c>
      <c r="F19" s="2" t="s">
        <v>36</v>
      </c>
      <c r="G19" s="2" t="s">
        <v>9</v>
      </c>
      <c r="H19" s="2" t="s">
        <v>28</v>
      </c>
      <c r="J19" s="19" t="s">
        <v>12</v>
      </c>
      <c r="AC19" s="11"/>
      <c r="AT19" s="4"/>
      <c r="BC19" s="4"/>
    </row>
    <row r="20" spans="1:70" x14ac:dyDescent="0.55000000000000004">
      <c r="A20" s="2" t="s">
        <v>34</v>
      </c>
      <c r="B20" s="13">
        <v>0.3</v>
      </c>
      <c r="C20" s="2">
        <f>D11*2</f>
        <v>0.7</v>
      </c>
      <c r="D20" s="2">
        <f>(Costs!B9/Costs!C9)*'Shaker RAISED PANEL door'!C20</f>
        <v>1.1199999999999999</v>
      </c>
      <c r="E20" s="4">
        <f>J7</f>
        <v>0.45894947174999989</v>
      </c>
      <c r="F20" s="2">
        <v>8</v>
      </c>
      <c r="G20" s="4">
        <f>E20*F20+D20*(1+B20)</f>
        <v>5.1275957739999996</v>
      </c>
      <c r="H20" s="4">
        <f>Costs!D9</f>
        <v>3</v>
      </c>
      <c r="J20" s="18">
        <f>G20*H20</f>
        <v>15.382787321999999</v>
      </c>
      <c r="AC20" s="11"/>
    </row>
    <row r="21" spans="1:70" x14ac:dyDescent="0.55000000000000004">
      <c r="A21" s="2" t="s">
        <v>41</v>
      </c>
      <c r="B21" s="2"/>
      <c r="C21" s="2"/>
      <c r="D21" s="2"/>
      <c r="E21" s="2"/>
      <c r="F21" s="2"/>
      <c r="G21" s="2"/>
      <c r="H21" s="2"/>
      <c r="I21" s="2"/>
      <c r="J21" s="2"/>
      <c r="AC21" s="2"/>
    </row>
    <row r="22" spans="1:70" s="1" customFormat="1" x14ac:dyDescent="0.5500000000000000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AC22" s="2"/>
      <c r="AS22"/>
      <c r="AT22"/>
      <c r="AU22"/>
      <c r="AV22"/>
      <c r="BJ22" s="2"/>
      <c r="BK22" s="9"/>
      <c r="BL22" s="16"/>
      <c r="BR22"/>
    </row>
    <row r="23" spans="1:70" x14ac:dyDescent="0.55000000000000004">
      <c r="A23" s="20" t="s">
        <v>11</v>
      </c>
      <c r="B23" s="2" t="s">
        <v>15</v>
      </c>
      <c r="C23" s="3" t="s">
        <v>32</v>
      </c>
      <c r="D23" s="2" t="s">
        <v>33</v>
      </c>
      <c r="E23" s="2"/>
      <c r="F23" s="9"/>
      <c r="G23" s="9"/>
      <c r="H23" s="2"/>
      <c r="I23" s="2"/>
      <c r="J23" s="25" t="s">
        <v>12</v>
      </c>
      <c r="AC23" s="2"/>
      <c r="AS23" s="5"/>
      <c r="AT23" s="5"/>
      <c r="AU23" s="5"/>
      <c r="AV23" s="5"/>
      <c r="BJ23" s="7"/>
      <c r="BK23" s="10"/>
      <c r="BL23" s="8"/>
    </row>
    <row r="24" spans="1:70" x14ac:dyDescent="0.55000000000000004">
      <c r="A24" s="2" t="str">
        <f>A1</f>
        <v>Shaker RAISED PANEL door</v>
      </c>
      <c r="B24" s="4">
        <f>G16+G11</f>
        <v>19.799605573416663</v>
      </c>
      <c r="C24" s="15">
        <f>(D24-G16-G11)/J24</f>
        <v>0.76644891687929639</v>
      </c>
      <c r="D24" s="14">
        <f>J11+J16</f>
        <v>84.776338044999989</v>
      </c>
      <c r="E24" s="21"/>
      <c r="F24" s="21"/>
      <c r="G24" s="21"/>
      <c r="H24" s="2"/>
      <c r="I24" s="2"/>
      <c r="J24" s="26">
        <f>IF(B24=G11,0,D24)</f>
        <v>84.776338044999989</v>
      </c>
      <c r="AC24" s="2"/>
      <c r="AW24" s="7"/>
      <c r="AX24" s="10"/>
      <c r="AY24" s="8"/>
    </row>
    <row r="25" spans="1:70" x14ac:dyDescent="0.55000000000000004">
      <c r="A25" s="2" t="s">
        <v>62</v>
      </c>
      <c r="B25" s="4">
        <f>G11+G16</f>
        <v>19.799605573416663</v>
      </c>
      <c r="C25" s="15">
        <f>(D24-G16-G11)/J24</f>
        <v>0.76644891687929639</v>
      </c>
      <c r="D25" s="14">
        <f>J11+J16</f>
        <v>84.776338044999989</v>
      </c>
      <c r="E25" s="14"/>
      <c r="F25" s="2"/>
      <c r="G25" s="2"/>
      <c r="H25" s="2"/>
      <c r="I25" s="2"/>
      <c r="J25" s="27">
        <f>IF(B25=G12,0,D25)+J20</f>
        <v>100.15912536699999</v>
      </c>
      <c r="AG25" s="2"/>
      <c r="AW25" s="2"/>
      <c r="AX25" s="2"/>
      <c r="AY25" s="4"/>
      <c r="AZ25" s="4"/>
      <c r="BA25" s="4"/>
      <c r="BB25" s="7"/>
      <c r="BC25" s="10"/>
      <c r="BD25" s="8"/>
    </row>
    <row r="26" spans="1:70" ht="14.7" thickBot="1" x14ac:dyDescent="0.6">
      <c r="J26" s="2"/>
      <c r="L26" s="2"/>
      <c r="M26" s="2"/>
      <c r="N26" s="2"/>
      <c r="O26" s="2"/>
      <c r="P26" s="2"/>
      <c r="Q26" s="2"/>
      <c r="R26" s="2"/>
      <c r="S26" s="2"/>
      <c r="AG26" s="2"/>
      <c r="AP26" s="5"/>
    </row>
    <row r="27" spans="1:70" x14ac:dyDescent="0.55000000000000004">
      <c r="A27" s="31" t="s">
        <v>14</v>
      </c>
      <c r="B27" s="33"/>
      <c r="C27" s="34" t="s">
        <v>16</v>
      </c>
      <c r="D27" s="32"/>
      <c r="E27" s="22"/>
      <c r="F27" s="2"/>
      <c r="G27" s="2"/>
      <c r="H27" s="2"/>
      <c r="I27" s="2"/>
      <c r="J27" s="2"/>
      <c r="AE27" s="2"/>
      <c r="AI27" s="2"/>
    </row>
    <row r="28" spans="1:70" ht="14.4" customHeight="1" thickBot="1" x14ac:dyDescent="0.6">
      <c r="A28" s="35" t="str">
        <f>A1</f>
        <v>Shaker RAISED PANEL door</v>
      </c>
      <c r="B28" s="36">
        <f>G11/J24</f>
        <v>0.11368666221032217</v>
      </c>
      <c r="C28" s="37" t="str">
        <f>A1</f>
        <v>Shaker RAISED PANEL door</v>
      </c>
      <c r="D28" s="38">
        <f>G16/J24</f>
        <v>0.11986442091038148</v>
      </c>
      <c r="E28" s="21"/>
      <c r="F28" s="2"/>
      <c r="G28" s="2"/>
      <c r="H28" s="2"/>
      <c r="I28" s="2"/>
      <c r="J28" s="2"/>
      <c r="L28" s="1"/>
      <c r="AE28" s="2"/>
      <c r="AI28" s="2"/>
    </row>
    <row r="29" spans="1:70" x14ac:dyDescent="0.55000000000000004">
      <c r="A29" s="2"/>
      <c r="B29" s="7"/>
      <c r="C29" s="2"/>
      <c r="D29" s="7"/>
      <c r="E29" s="21"/>
      <c r="F29" s="2"/>
      <c r="G29" s="2"/>
      <c r="H29" s="2"/>
      <c r="I29" s="2"/>
      <c r="J29" s="2"/>
      <c r="L29" s="1"/>
      <c r="AE29" s="2"/>
      <c r="AI29" s="2"/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Price sheet</vt:lpstr>
      <vt:lpstr>Costs</vt:lpstr>
      <vt:lpstr>Shaker door</vt:lpstr>
      <vt:lpstr>Shaker RAISED PANEL door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Rodgers</dc:creator>
  <cp:lastModifiedBy>Jez Vincent</cp:lastModifiedBy>
  <dcterms:created xsi:type="dcterms:W3CDTF">2022-07-14T08:41:22Z</dcterms:created>
  <dcterms:modified xsi:type="dcterms:W3CDTF">2023-08-01T07:20:31Z</dcterms:modified>
</cp:coreProperties>
</file>